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A168CF48-2506-4050-8C85-07A474D31642}"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externalReferences>
    <externalReference r:id="rId2"/>
  </externalReferences>
  <definedNames>
    <definedName name="_xlnm.Print_Area" localSheetId="0">'TAB A- Summary Template Exp'!$A$1:$F$104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1" l="1"/>
  <c r="F73" i="1"/>
  <c r="F42" i="1"/>
  <c r="F36" i="1"/>
  <c r="F20" i="1"/>
  <c r="F10" i="1"/>
  <c r="F43" i="1"/>
  <c r="F38" i="1"/>
  <c r="F79" i="1"/>
  <c r="F78" i="1"/>
  <c r="F72" i="1"/>
  <c r="F53" i="1"/>
  <c r="F41" i="1"/>
  <c r="F40" i="1"/>
  <c r="F39" i="1"/>
  <c r="F17" i="1"/>
  <c r="F14" i="1"/>
  <c r="F13" i="1"/>
  <c r="F85" i="1" l="1"/>
  <c r="F71" i="1" l="1"/>
  <c r="F76" i="1" l="1"/>
  <c r="F70" i="1"/>
  <c r="F50" i="1"/>
  <c r="F18" i="1"/>
  <c r="F11" i="1"/>
  <c r="F77" i="1" l="1"/>
  <c r="F51" i="1"/>
  <c r="F75" i="1" l="1"/>
  <c r="F74" i="1"/>
  <c r="F69" i="1"/>
  <c r="E59" i="1"/>
  <c r="F59" i="1" s="1"/>
  <c r="F52" i="1"/>
  <c r="F49" i="1"/>
  <c r="F48" i="1"/>
  <c r="E41" i="1"/>
  <c r="E40" i="1"/>
  <c r="E39" i="1"/>
  <c r="E38" i="1"/>
  <c r="E37" i="1"/>
  <c r="F37" i="1" s="1"/>
  <c r="E36" i="1"/>
  <c r="E35" i="1"/>
  <c r="F35" i="1" s="1"/>
  <c r="E34" i="1"/>
  <c r="E33" i="1"/>
  <c r="F33" i="1" s="1"/>
  <c r="E32" i="1"/>
  <c r="F32" i="1" s="1"/>
  <c r="F27" i="1"/>
  <c r="F26" i="1"/>
  <c r="F21" i="1"/>
  <c r="F19" i="1"/>
  <c r="F16" i="1"/>
  <c r="F15" i="1"/>
  <c r="F12" i="1"/>
  <c r="F55" i="1"/>
  <c r="E55" i="1"/>
  <c r="D55" i="1"/>
  <c r="D44" i="1"/>
  <c r="E44" i="1" l="1"/>
  <c r="F34" i="1"/>
  <c r="F44" i="1" s="1"/>
  <c r="F22" i="1"/>
  <c r="E22" i="1"/>
  <c r="D22" i="1"/>
  <c r="E28" i="1" l="1"/>
  <c r="F28" i="1"/>
  <c r="E60" i="1"/>
  <c r="F60" i="1"/>
  <c r="E80" i="1"/>
  <c r="F80" i="1"/>
  <c r="E86" i="1"/>
  <c r="F86" i="1"/>
  <c r="F92" i="1" s="1"/>
  <c r="D86" i="1"/>
  <c r="E92" i="1" l="1"/>
  <c r="D80" i="1"/>
  <c r="D28" i="1"/>
  <c r="D60" i="1" l="1"/>
  <c r="D92" i="1" s="1"/>
</calcChain>
</file>

<file path=xl/sharedStrings.xml><?xml version="1.0" encoding="utf-8"?>
<sst xmlns="http://schemas.openxmlformats.org/spreadsheetml/2006/main" count="222" uniqueCount="71">
  <si>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</si>
  <si>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</si>
  <si>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</si>
  <si>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</si>
  <si>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</si>
  <si>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</si>
  <si>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</si>
  <si>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</si>
  <si>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</si>
  <si>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</si>
  <si>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</si>
  <si>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</si>
  <si>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</si>
  <si>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</si>
  <si>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</si>
  <si>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</si>
  <si>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</si>
  <si>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</si>
  <si>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</si>
  <si>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</si>
  <si>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</si>
  <si>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</si>
  <si>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</si>
  <si>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</si>
  <si>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</si>
  <si>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2023 Expenditure Estimate</t>
  </si>
  <si>
    <t>DHLGH / South East Protocol Agreement - Financial Report 2023</t>
  </si>
  <si>
    <t>Tenancy Sustainment</t>
  </si>
  <si>
    <t>Focus Ireland</t>
  </si>
  <si>
    <t>Housing First</t>
  </si>
  <si>
    <t>South East Simon Community</t>
  </si>
  <si>
    <t>Focus Ireland /GSC</t>
  </si>
  <si>
    <t>Youth Project</t>
  </si>
  <si>
    <t>Oasis House Refuge</t>
  </si>
  <si>
    <t>Oasis House</t>
  </si>
  <si>
    <t>Grange Cohan</t>
  </si>
  <si>
    <t>Tinteán - O'Connell St</t>
  </si>
  <si>
    <t>Tinteán Housing Association</t>
  </si>
  <si>
    <t>McGwire House Hostel</t>
  </si>
  <si>
    <t>Depaul</t>
  </si>
  <si>
    <t>Rough Sleeper Units</t>
  </si>
  <si>
    <t>Depaul &amp; South East Simon Community</t>
  </si>
  <si>
    <t>Ozanam House</t>
  </si>
  <si>
    <t>Barrow Place</t>
  </si>
  <si>
    <t>Good Shepherd Centre</t>
  </si>
  <si>
    <t>Good Shepherd Centre Kilkenny</t>
  </si>
  <si>
    <t>Prospect House</t>
  </si>
  <si>
    <t>Novas</t>
  </si>
  <si>
    <t>Mitchell Street Complex</t>
  </si>
  <si>
    <t>Matthew Bourke House</t>
  </si>
  <si>
    <t>Thurles Lions Trust</t>
  </si>
  <si>
    <t>Other Emergency Accommodation with no supports</t>
  </si>
  <si>
    <t>B&amp;B</t>
  </si>
  <si>
    <t>Homeless Prevention &amp; Support Project</t>
  </si>
  <si>
    <t>Place Finder Service</t>
  </si>
  <si>
    <t>Resettlement &amp; Prevention Service</t>
  </si>
  <si>
    <t>Regional LAs</t>
  </si>
  <si>
    <t>Regional Homeless Services Management</t>
  </si>
  <si>
    <t>I hereby certify that this statement of expenditure relates to the homeless services programme for the South East Region and that the delegated 'Section 10' Exchequer funding allocation is used for the sole purpose of expenditure incurred on this homeless services programme:</t>
  </si>
  <si>
    <t>Wexford County Council</t>
  </si>
  <si>
    <t>Carlow County Council</t>
  </si>
  <si>
    <t>Kilkenny County Council</t>
  </si>
  <si>
    <t>Tipperary County Council</t>
  </si>
  <si>
    <t xml:space="preserve">Waterford City and County Council </t>
  </si>
  <si>
    <t xml:space="preserve">Wexford County Council </t>
  </si>
  <si>
    <t xml:space="preserve">Grange Cohan </t>
  </si>
  <si>
    <t>Community Based Clinic</t>
  </si>
  <si>
    <t>Year Ending December 31 2023</t>
  </si>
  <si>
    <t>Settlement Worker</t>
  </si>
  <si>
    <t>Tinteán</t>
  </si>
  <si>
    <t>Cold Weather 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</si>
</sst>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0" fontId="5" fillId="0" borderId="4" xfId="0" applyFont="1" applyBorder="1" applyAlignment="1">
      <alignment horizontal="center" vertical="center" wrapText="1"/>
    </xf>
    <xf numFmtId="164" fontId="6" fillId="0" borderId="7"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164" fontId="6" fillId="0" borderId="0" xfId="0" applyNumberFormat="1" applyFont="1" applyAlignment="1">
      <alignment vertical="top" wrapText="1"/>
    </xf>
    <xf numFmtId="0" fontId="2" fillId="0" borderId="0" xfId="0" applyFont="1" applyAlignment="1">
      <alignment horizontal="left" vertical="center" wrapText="1"/>
    </xf>
    <xf numFmtId="164" fontId="4" fillId="0" borderId="7" xfId="0" applyNumberFormat="1" applyFont="1" applyBorder="1" applyAlignment="1">
      <alignment horizontal="center" vertical="center"/>
    </xf>
    <xf numFmtId="0" fontId="9" fillId="4" borderId="4" xfId="0" applyFont="1" applyFill="1" applyBorder="1" applyAlignment="1">
      <alignment horizontal="left" vertical="center" wrapText="1"/>
    </xf>
    <xf numFmtId="164" fontId="6" fillId="0" borderId="6" xfId="0" applyNumberFormat="1"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7" xfId="0" applyFont="1" applyBorder="1" applyAlignment="1">
      <alignment horizontal="left" vertical="center" wrapText="1"/>
    </xf>
    <xf numFmtId="164" fontId="6" fillId="0" borderId="17" xfId="0" applyNumberFormat="1"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8" xfId="0" applyFont="1" applyBorder="1" applyAlignment="1">
      <alignment horizontal="left" vertical="center" wrapText="1"/>
    </xf>
    <xf numFmtId="0" fontId="7" fillId="0" borderId="17" xfId="0" applyFont="1" applyBorder="1" applyAlignment="1">
      <alignment horizontal="left" vertical="center" wrapText="1"/>
    </xf>
    <xf numFmtId="164" fontId="6" fillId="0" borderId="19" xfId="1" applyNumberFormat="1" applyFont="1" applyFill="1" applyBorder="1" applyAlignment="1" applyProtection="1">
      <alignment horizontal="center" vertical="center"/>
    </xf>
    <xf numFmtId="0" fontId="6" fillId="0" borderId="20" xfId="0" applyFont="1" applyBorder="1" applyAlignment="1">
      <alignment horizontal="left" vertical="center" wrapText="1"/>
    </xf>
    <xf numFmtId="0" fontId="7" fillId="0" borderId="6" xfId="0" applyFont="1" applyBorder="1" applyAlignment="1">
      <alignment horizontal="left" vertical="center" wrapText="1"/>
    </xf>
    <xf numFmtId="164" fontId="6" fillId="0" borderId="11" xfId="1" applyNumberFormat="1" applyFont="1" applyFill="1" applyBorder="1" applyAlignment="1" applyProtection="1">
      <alignment horizontal="center" vertical="center"/>
    </xf>
    <xf numFmtId="0" fontId="6" fillId="0" borderId="10" xfId="0" applyFont="1" applyBorder="1" applyAlignment="1">
      <alignment horizontal="left" vertical="center" wrapText="1"/>
    </xf>
    <xf numFmtId="0" fontId="6" fillId="0" borderId="21"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0" fontId="6" fillId="0" borderId="15" xfId="0" applyFont="1" applyBorder="1" applyAlignment="1">
      <alignment horizontal="left" vertical="center" wrapText="1"/>
    </xf>
    <xf numFmtId="6" fontId="6" fillId="0" borderId="5" xfId="0" applyNumberFormat="1" applyFont="1" applyBorder="1" applyAlignment="1">
      <alignment horizontal="center" vertical="center" wrapText="1"/>
    </xf>
    <xf numFmtId="0" fontId="6" fillId="0" borderId="0" xfId="0" applyFont="1" applyAlignment="1" applyProtection="1">
      <alignment wrapText="1"/>
      <protection locked="0"/>
    </xf>
    <xf numFmtId="164" fontId="6" fillId="0" borderId="0" xfId="0" applyNumberFormat="1" applyFont="1" applyAlignment="1" applyProtection="1">
      <alignment horizontal="center"/>
      <protection locked="0"/>
    </xf>
    <xf numFmtId="0" fontId="4" fillId="0" borderId="15" xfId="0" applyFont="1" applyBorder="1" applyAlignment="1" applyProtection="1">
      <alignment wrapText="1"/>
      <protection locked="0"/>
    </xf>
    <xf numFmtId="0" fontId="4" fillId="0" borderId="0" xfId="0" applyFont="1" applyAlignment="1" applyProtection="1">
      <alignment wrapText="1"/>
      <protection locked="0"/>
    </xf>
    <xf numFmtId="164" fontId="6" fillId="0" borderId="0" xfId="0" applyNumberFormat="1" applyFont="1" applyAlignment="1" applyProtection="1">
      <alignment wrapText="1"/>
      <protection locked="0"/>
    </xf>
    <xf numFmtId="0" fontId="6" fillId="0" borderId="8" xfId="0" applyFont="1" applyBorder="1" applyAlignment="1">
      <alignment horizontal="left" vertical="center" wrapText="1"/>
    </xf>
    <xf numFmtId="14" fontId="6" fillId="0" borderId="15" xfId="0" applyNumberFormat="1" applyFont="1" applyBorder="1" applyProtection="1">
      <protection locked="0"/>
    </xf>
    <xf numFmtId="14" fontId="6" fillId="0" borderId="15" xfId="0" applyNumberFormat="1" applyFont="1" applyBorder="1" applyAlignment="1" applyProtection="1">
      <alignment horizontal="center"/>
      <protection locked="0"/>
    </xf>
    <xf numFmtId="6" fontId="6" fillId="0" borderId="21" xfId="0" applyNumberFormat="1" applyFont="1" applyBorder="1" applyAlignment="1">
      <alignment horizontal="center" vertical="center" wrapText="1"/>
    </xf>
    <xf numFmtId="0" fontId="6" fillId="0" borderId="22" xfId="0" applyFont="1" applyBorder="1" applyAlignment="1">
      <alignment horizontal="lef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4" fillId="0" borderId="0" xfId="0" applyFont="1"/>
    <xf numFmtId="0" fontId="6" fillId="0" borderId="15" xfId="0" applyFont="1" applyBorder="1" applyAlignment="1">
      <alignmen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6" fontId="6" fillId="0" borderId="10" xfId="0" applyNumberFormat="1" applyFont="1" applyBorder="1" applyAlignment="1" applyProtection="1">
      <alignment horizontal="left" vertical="center" wrapText="1"/>
      <protection locked="0"/>
    </xf>
    <xf numFmtId="6" fontId="6" fillId="0" borderId="6" xfId="0" applyNumberFormat="1" applyFont="1" applyBorder="1" applyAlignment="1" applyProtection="1">
      <alignment horizontal="left" vertical="center" wrapText="1"/>
      <protection locked="0"/>
    </xf>
    <xf numFmtId="164" fontId="6" fillId="0" borderId="6" xfId="0" applyNumberFormat="1" applyFont="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8" xfId="0" applyFont="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4" fillId="0" borderId="7" xfId="0" applyFont="1" applyBorder="1" applyAlignment="1">
      <alignment horizontal="right" vertical="center"/>
    </xf>
    <xf numFmtId="0" fontId="6" fillId="0" borderId="0" xfId="0" applyFont="1" applyAlignment="1">
      <alignment horizontal="left" wrapText="1"/>
    </xf>
    <xf numFmtId="0" fontId="4" fillId="0" borderId="7" xfId="0" applyFont="1" applyBorder="1" applyAlignment="1">
      <alignment horizontal="right"/>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ousing.cloud.gov.ie/hsg/hmf/Funding%202023%20HSGHMF2/Quartlery%20Returns%20under%20Section%2010%202023/S10%20Dept%20Quarter%204%202023%20Est%20Dec/WRC%20Payments%20S10/WRC%20calcuations%20for%20SER%20Q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sheetName val="Sheet1"/>
    </sheetNames>
    <sheetDataSet>
      <sheetData sheetId="0">
        <row r="31">
          <cell r="H31">
            <v>301265</v>
          </cell>
        </row>
        <row r="32">
          <cell r="H32">
            <v>27392.480050000002</v>
          </cell>
        </row>
        <row r="33">
          <cell r="H33">
            <v>502547.29</v>
          </cell>
        </row>
        <row r="34">
          <cell r="I34">
            <v>1072.9761904761981</v>
          </cell>
        </row>
        <row r="35">
          <cell r="I35">
            <v>2145.9523809523962</v>
          </cell>
        </row>
        <row r="36">
          <cell r="I36">
            <v>1072.9761904761981</v>
          </cell>
        </row>
        <row r="41">
          <cell r="H41">
            <v>210921.17707142857</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6"/>
  <sheetViews>
    <sheetView tabSelected="1" workbookViewId="0">
      <selection activeCell="D4" sqref="D4"/>
    </sheetView>
  </sheetViews>
  <sheetFormatPr defaultColWidth="9.36328125" defaultRowHeight="14.5" x14ac:dyDescent="0.35"/>
  <cols>
    <col min="1" max="1" width="40.54296875" customWidth="1"/>
    <col min="2" max="2" width="47.6328125" customWidth="1"/>
    <col min="3" max="3" width="38" customWidth="1"/>
    <col min="4" max="6" width="21.36328125" customWidth="1"/>
  </cols>
  <sheetData>
    <row r="1" spans="1:6" ht="44.25" customHeight="1" thickBot="1" x14ac:dyDescent="0.5">
      <c r="A1" s="65"/>
      <c r="B1" s="66"/>
      <c r="C1" s="67"/>
      <c r="D1" s="21"/>
      <c r="E1" s="1"/>
      <c r="F1" s="1"/>
    </row>
    <row r="2" spans="1:6" ht="12.75" customHeight="1" x14ac:dyDescent="0.35">
      <c r="A2" s="71" t="s">
        <v>0</v>
      </c>
      <c r="B2" s="71"/>
    </row>
    <row r="3" spans="1:6" ht="12.75" customHeight="1" x14ac:dyDescent="0.35">
      <c r="A3" s="71"/>
      <c r="B3" s="71"/>
    </row>
    <row r="4" spans="1:6" ht="12.75" customHeight="1" x14ac:dyDescent="0.35"/>
    <row r="5" spans="1:6" ht="12.75" customHeight="1" x14ac:dyDescent="0.35">
      <c r="A5" s="72" t="s">
        <v>26</v>
      </c>
      <c r="B5" s="72"/>
      <c r="C5" s="72"/>
      <c r="D5" s="72"/>
    </row>
    <row r="6" spans="1:6" ht="12.75" customHeight="1" thickBot="1" x14ac:dyDescent="0.4">
      <c r="B6" s="54" t="s">
        <v>67</v>
      </c>
    </row>
    <row r="7" spans="1:6" ht="19.25" customHeight="1" thickBot="1" x14ac:dyDescent="0.4">
      <c r="A7" s="68" t="s">
        <v>1</v>
      </c>
      <c r="B7" s="69"/>
      <c r="C7" s="69"/>
      <c r="D7" s="69"/>
      <c r="E7" s="69"/>
      <c r="F7" s="70"/>
    </row>
    <row r="8" spans="1:6" ht="54.5" customHeight="1" thickBot="1" x14ac:dyDescent="0.4">
      <c r="A8" s="2" t="s">
        <v>2</v>
      </c>
      <c r="B8" s="23" t="s">
        <v>21</v>
      </c>
      <c r="C8" s="2" t="s">
        <v>4</v>
      </c>
      <c r="D8" s="3" t="s">
        <v>25</v>
      </c>
      <c r="E8" s="6" t="s">
        <v>5</v>
      </c>
      <c r="F8" s="3" t="s">
        <v>6</v>
      </c>
    </row>
    <row r="9" spans="1:6" ht="17.75" customHeight="1" x14ac:dyDescent="0.35">
      <c r="A9" s="52" t="s">
        <v>63</v>
      </c>
      <c r="B9" s="53" t="s">
        <v>27</v>
      </c>
      <c r="C9" s="53" t="s">
        <v>28</v>
      </c>
      <c r="D9" s="24">
        <v>97918</v>
      </c>
      <c r="E9" s="39">
        <v>100019.27365238094</v>
      </c>
      <c r="F9" s="39">
        <v>81922.78</v>
      </c>
    </row>
    <row r="10" spans="1:6" ht="17.75" customHeight="1" x14ac:dyDescent="0.35">
      <c r="A10" s="52" t="s">
        <v>59</v>
      </c>
      <c r="B10" s="53" t="s">
        <v>27</v>
      </c>
      <c r="C10" s="53" t="s">
        <v>28</v>
      </c>
      <c r="D10" s="24">
        <v>97918</v>
      </c>
      <c r="E10" s="39">
        <v>100019.27365238094</v>
      </c>
      <c r="F10" s="39">
        <f>90017/90*100</f>
        <v>100018.88888888889</v>
      </c>
    </row>
    <row r="11" spans="1:6" ht="18" customHeight="1" x14ac:dyDescent="0.35">
      <c r="A11" s="52" t="s">
        <v>60</v>
      </c>
      <c r="B11" s="53" t="s">
        <v>27</v>
      </c>
      <c r="C11" s="53" t="s">
        <v>28</v>
      </c>
      <c r="D11" s="24">
        <v>74320</v>
      </c>
      <c r="E11" s="39">
        <v>75914.8718095238</v>
      </c>
      <c r="F11" s="39">
        <f>68323/90*100</f>
        <v>75914.444444444438</v>
      </c>
    </row>
    <row r="12" spans="1:6" ht="17.75" customHeight="1" x14ac:dyDescent="0.35">
      <c r="A12" s="52" t="s">
        <v>61</v>
      </c>
      <c r="B12" s="53" t="s">
        <v>27</v>
      </c>
      <c r="C12" s="53" t="s">
        <v>28</v>
      </c>
      <c r="D12" s="24">
        <v>74320</v>
      </c>
      <c r="E12" s="39">
        <v>75914.8718095238</v>
      </c>
      <c r="F12" s="39">
        <f>65581/90*100</f>
        <v>72867.777777777781</v>
      </c>
    </row>
    <row r="13" spans="1:6" ht="17.75" customHeight="1" x14ac:dyDescent="0.35">
      <c r="A13" s="52" t="s">
        <v>62</v>
      </c>
      <c r="B13" s="53" t="s">
        <v>27</v>
      </c>
      <c r="C13" s="53" t="s">
        <v>28</v>
      </c>
      <c r="D13" s="24">
        <v>99092</v>
      </c>
      <c r="E13" s="39">
        <v>101218.46713333332</v>
      </c>
      <c r="F13" s="39">
        <f>91096/90*100</f>
        <v>101217.77777777778</v>
      </c>
    </row>
    <row r="14" spans="1:6" ht="17" customHeight="1" x14ac:dyDescent="0.35">
      <c r="A14" s="52" t="s">
        <v>62</v>
      </c>
      <c r="B14" s="53" t="s">
        <v>27</v>
      </c>
      <c r="C14" s="53" t="s">
        <v>28</v>
      </c>
      <c r="D14" s="24">
        <v>40000</v>
      </c>
      <c r="E14" s="39">
        <v>40858.380952380954</v>
      </c>
      <c r="F14" s="39">
        <f>36772/90*100</f>
        <v>40857.777777777781</v>
      </c>
    </row>
    <row r="15" spans="1:6" ht="17" customHeight="1" x14ac:dyDescent="0.35">
      <c r="A15" s="52" t="s">
        <v>63</v>
      </c>
      <c r="B15" s="53" t="s">
        <v>32</v>
      </c>
      <c r="C15" s="53" t="s">
        <v>28</v>
      </c>
      <c r="D15" s="24">
        <v>50000</v>
      </c>
      <c r="E15" s="39">
        <v>51072.976190476198</v>
      </c>
      <c r="F15" s="39">
        <f>E15</f>
        <v>51072.976190476198</v>
      </c>
    </row>
    <row r="16" spans="1:6" ht="18.5" customHeight="1" x14ac:dyDescent="0.35">
      <c r="A16" s="52" t="s">
        <v>63</v>
      </c>
      <c r="B16" s="53" t="s">
        <v>29</v>
      </c>
      <c r="C16" s="53" t="s">
        <v>30</v>
      </c>
      <c r="D16" s="24">
        <v>132300</v>
      </c>
      <c r="E16" s="39">
        <v>135139.095</v>
      </c>
      <c r="F16" s="39">
        <f>E16</f>
        <v>135139.095</v>
      </c>
    </row>
    <row r="17" spans="1:11" ht="20" customHeight="1" x14ac:dyDescent="0.35">
      <c r="A17" s="52" t="s">
        <v>62</v>
      </c>
      <c r="B17" s="53" t="s">
        <v>29</v>
      </c>
      <c r="C17" s="53" t="s">
        <v>28</v>
      </c>
      <c r="D17" s="24">
        <v>158550</v>
      </c>
      <c r="E17" s="39">
        <v>161952.4075</v>
      </c>
      <c r="F17" s="39">
        <f>145757/90*100</f>
        <v>161952.22222222222</v>
      </c>
    </row>
    <row r="18" spans="1:11" ht="18" customHeight="1" x14ac:dyDescent="0.35">
      <c r="A18" s="52" t="s">
        <v>60</v>
      </c>
      <c r="B18" s="53" t="s">
        <v>29</v>
      </c>
      <c r="C18" s="53" t="s">
        <v>28</v>
      </c>
      <c r="D18" s="24">
        <v>114450</v>
      </c>
      <c r="E18" s="39">
        <v>116906.0425</v>
      </c>
      <c r="F18" s="39">
        <f>105215/90*100</f>
        <v>116905.55555555556</v>
      </c>
    </row>
    <row r="19" spans="1:11" ht="17.75" customHeight="1" x14ac:dyDescent="0.35">
      <c r="A19" s="52" t="s">
        <v>61</v>
      </c>
      <c r="B19" s="53" t="s">
        <v>29</v>
      </c>
      <c r="C19" s="53" t="s">
        <v>31</v>
      </c>
      <c r="D19" s="24">
        <v>114450</v>
      </c>
      <c r="E19" s="39">
        <v>116906.0425</v>
      </c>
      <c r="F19" s="39">
        <f>96151/90*100</f>
        <v>106834.44444444444</v>
      </c>
    </row>
    <row r="20" spans="1:11" ht="18.5" customHeight="1" x14ac:dyDescent="0.35">
      <c r="A20" s="52" t="s">
        <v>59</v>
      </c>
      <c r="B20" s="53" t="s">
        <v>29</v>
      </c>
      <c r="C20" s="53" t="s">
        <v>28</v>
      </c>
      <c r="D20" s="24">
        <v>114450</v>
      </c>
      <c r="E20" s="39">
        <v>116906.0425</v>
      </c>
      <c r="F20" s="39">
        <f>105215/90*100</f>
        <v>116905.55555555556</v>
      </c>
    </row>
    <row r="21" spans="1:11" ht="18.5" customHeight="1" x14ac:dyDescent="0.35">
      <c r="A21" s="59" t="s">
        <v>63</v>
      </c>
      <c r="B21" s="55" t="s">
        <v>68</v>
      </c>
      <c r="C21" s="58" t="s">
        <v>69</v>
      </c>
      <c r="D21" s="24">
        <v>14381</v>
      </c>
      <c r="E21" s="39">
        <v>14741</v>
      </c>
      <c r="F21" s="39">
        <f>E21</f>
        <v>14741</v>
      </c>
    </row>
    <row r="22" spans="1:11" ht="15" customHeight="1" x14ac:dyDescent="0.35">
      <c r="A22" s="73" t="s">
        <v>7</v>
      </c>
      <c r="B22" s="74"/>
      <c r="C22" s="75"/>
      <c r="D22" s="22">
        <f>SUM(D9:D21)</f>
        <v>1182149</v>
      </c>
      <c r="E22" s="22">
        <f>SUM(E9:E21)</f>
        <v>1207568.7451999998</v>
      </c>
      <c r="F22" s="22">
        <f>SUM(F9:F21)</f>
        <v>1176350.2956349207</v>
      </c>
    </row>
    <row r="23" spans="1:11" ht="12.75" customHeight="1" thickBot="1" x14ac:dyDescent="0.4"/>
    <row r="24" spans="1:11" ht="19.25" customHeight="1" thickBot="1" x14ac:dyDescent="0.4">
      <c r="A24" s="68" t="s">
        <v>8</v>
      </c>
      <c r="B24" s="69"/>
      <c r="C24" s="69"/>
      <c r="D24" s="69"/>
      <c r="E24" s="69"/>
      <c r="F24" s="70"/>
    </row>
    <row r="25" spans="1:11" ht="51.75" customHeight="1" thickBot="1" x14ac:dyDescent="0.4">
      <c r="A25" s="2" t="s">
        <v>2</v>
      </c>
      <c r="B25" s="2" t="s">
        <v>22</v>
      </c>
      <c r="C25" s="2" t="s">
        <v>4</v>
      </c>
      <c r="D25" s="3" t="s">
        <v>25</v>
      </c>
      <c r="E25" s="6" t="s">
        <v>5</v>
      </c>
      <c r="F25" s="3" t="s">
        <v>6</v>
      </c>
      <c r="K25" t="s">
        <v>9</v>
      </c>
    </row>
    <row r="26" spans="1:11" ht="19.25" customHeight="1" x14ac:dyDescent="0.35">
      <c r="A26" s="25" t="s">
        <v>63</v>
      </c>
      <c r="B26" s="26" t="s">
        <v>33</v>
      </c>
      <c r="C26" s="27" t="s">
        <v>34</v>
      </c>
      <c r="D26" s="28">
        <v>102503</v>
      </c>
      <c r="E26" s="5">
        <v>104702.66556904762</v>
      </c>
      <c r="F26" s="5">
        <f>E26</f>
        <v>104702.66556904762</v>
      </c>
    </row>
    <row r="27" spans="1:11" ht="18.5" customHeight="1" x14ac:dyDescent="0.35">
      <c r="A27" s="40" t="s">
        <v>63</v>
      </c>
      <c r="B27" s="47" t="s">
        <v>35</v>
      </c>
      <c r="C27" s="27" t="s">
        <v>28</v>
      </c>
      <c r="D27" s="24">
        <v>16090</v>
      </c>
      <c r="E27" s="5">
        <v>16435.283738095237</v>
      </c>
      <c r="F27" s="5">
        <f>E27</f>
        <v>16435.283738095237</v>
      </c>
    </row>
    <row r="28" spans="1:11" ht="15" customHeight="1" x14ac:dyDescent="0.35">
      <c r="A28" s="73" t="s">
        <v>7</v>
      </c>
      <c r="B28" s="74"/>
      <c r="C28" s="75"/>
      <c r="D28" s="22">
        <f>SUM(D26:D27)</f>
        <v>118593</v>
      </c>
      <c r="E28" s="22">
        <f t="shared" ref="E28:F28" si="0">SUM(E26:E27)</f>
        <v>121137.94930714286</v>
      </c>
      <c r="F28" s="22">
        <f t="shared" si="0"/>
        <v>121137.94930714286</v>
      </c>
    </row>
    <row r="29" spans="1:11" ht="12.75" customHeight="1" thickBot="1" x14ac:dyDescent="0.4"/>
    <row r="30" spans="1:11" ht="19.25" customHeight="1" thickBot="1" x14ac:dyDescent="0.4">
      <c r="A30" s="68" t="s">
        <v>10</v>
      </c>
      <c r="B30" s="69"/>
      <c r="C30" s="69"/>
      <c r="D30" s="69"/>
      <c r="E30" s="69"/>
      <c r="F30" s="70"/>
    </row>
    <row r="31" spans="1:11" ht="51.75" customHeight="1" thickBot="1" x14ac:dyDescent="0.4">
      <c r="A31" s="2" t="s">
        <v>2</v>
      </c>
      <c r="B31" s="2" t="s">
        <v>22</v>
      </c>
      <c r="C31" s="2" t="s">
        <v>4</v>
      </c>
      <c r="D31" s="3" t="s">
        <v>25</v>
      </c>
      <c r="E31" s="6" t="s">
        <v>5</v>
      </c>
      <c r="F31" s="3" t="s">
        <v>6</v>
      </c>
    </row>
    <row r="32" spans="1:11" ht="20" customHeight="1" x14ac:dyDescent="0.35">
      <c r="A32" s="25" t="s">
        <v>63</v>
      </c>
      <c r="B32" s="26" t="s">
        <v>36</v>
      </c>
      <c r="C32" s="26" t="s">
        <v>37</v>
      </c>
      <c r="D32" s="7">
        <v>293765</v>
      </c>
      <c r="E32" s="5">
        <f>[1]Sheet!$H$31</f>
        <v>301265</v>
      </c>
      <c r="F32" s="5">
        <f t="shared" ref="F32:F37" si="1">E32</f>
        <v>301265</v>
      </c>
    </row>
    <row r="33" spans="1:6" ht="20" customHeight="1" x14ac:dyDescent="0.35">
      <c r="A33" s="29" t="s">
        <v>63</v>
      </c>
      <c r="B33" s="30" t="s">
        <v>38</v>
      </c>
      <c r="C33" s="30" t="s">
        <v>39</v>
      </c>
      <c r="D33" s="7">
        <v>625510</v>
      </c>
      <c r="E33" s="5">
        <f>D33</f>
        <v>625510</v>
      </c>
      <c r="F33" s="5">
        <f t="shared" si="1"/>
        <v>625510</v>
      </c>
    </row>
    <row r="34" spans="1:6" ht="28.25" customHeight="1" x14ac:dyDescent="0.35">
      <c r="A34" s="29" t="s">
        <v>63</v>
      </c>
      <c r="B34" s="30" t="s">
        <v>40</v>
      </c>
      <c r="C34" s="30" t="s">
        <v>41</v>
      </c>
      <c r="D34" s="7">
        <v>100317</v>
      </c>
      <c r="E34" s="5">
        <f>D34</f>
        <v>100317</v>
      </c>
      <c r="F34" s="5">
        <f t="shared" si="1"/>
        <v>100317</v>
      </c>
    </row>
    <row r="35" spans="1:6" ht="18.5" customHeight="1" x14ac:dyDescent="0.35">
      <c r="A35" s="29" t="s">
        <v>63</v>
      </c>
      <c r="B35" s="30" t="s">
        <v>35</v>
      </c>
      <c r="C35" s="30" t="s">
        <v>28</v>
      </c>
      <c r="D35" s="7">
        <v>26817</v>
      </c>
      <c r="E35" s="5">
        <f>[1]Sheet!$H$32</f>
        <v>27392.480050000002</v>
      </c>
      <c r="F35" s="5">
        <f t="shared" si="1"/>
        <v>27392.480050000002</v>
      </c>
    </row>
    <row r="36" spans="1:6" ht="23.75" customHeight="1" x14ac:dyDescent="0.35">
      <c r="A36" s="37" t="s">
        <v>64</v>
      </c>
      <c r="B36" s="27" t="s">
        <v>42</v>
      </c>
      <c r="C36" s="38" t="s">
        <v>39</v>
      </c>
      <c r="D36" s="7">
        <v>679132</v>
      </c>
      <c r="E36" s="5">
        <f>D36</f>
        <v>679132</v>
      </c>
      <c r="F36" s="5">
        <f>611219/90*100</f>
        <v>679132.22222222225</v>
      </c>
    </row>
    <row r="37" spans="1:6" ht="21.5" customHeight="1" x14ac:dyDescent="0.35">
      <c r="A37" s="38" t="s">
        <v>60</v>
      </c>
      <c r="B37" s="30" t="s">
        <v>43</v>
      </c>
      <c r="C37" s="38" t="s">
        <v>39</v>
      </c>
      <c r="D37" s="7">
        <v>224371</v>
      </c>
      <c r="E37" s="5">
        <f>D37+73246</f>
        <v>297617</v>
      </c>
      <c r="F37" s="5">
        <f t="shared" si="1"/>
        <v>297617</v>
      </c>
    </row>
    <row r="38" spans="1:6" ht="21" customHeight="1" x14ac:dyDescent="0.35">
      <c r="A38" s="38" t="s">
        <v>61</v>
      </c>
      <c r="B38" s="30" t="s">
        <v>44</v>
      </c>
      <c r="C38" s="38" t="s">
        <v>45</v>
      </c>
      <c r="D38" s="7">
        <v>496859</v>
      </c>
      <c r="E38" s="5">
        <f>[1]Sheet!$H$33</f>
        <v>502547.29</v>
      </c>
      <c r="F38" s="5">
        <f>452293/90*100</f>
        <v>502547.77777777781</v>
      </c>
    </row>
    <row r="39" spans="1:6" ht="22.5" customHeight="1" x14ac:dyDescent="0.35">
      <c r="A39" s="38" t="s">
        <v>62</v>
      </c>
      <c r="B39" s="30" t="s">
        <v>46</v>
      </c>
      <c r="C39" s="38" t="s">
        <v>47</v>
      </c>
      <c r="D39" s="7">
        <v>53127</v>
      </c>
      <c r="E39" s="5">
        <f>D39+[1]Sheet!$I$34</f>
        <v>54199.976190476198</v>
      </c>
      <c r="F39" s="5">
        <f>48780/90*100</f>
        <v>54200</v>
      </c>
    </row>
    <row r="40" spans="1:6" ht="20" customHeight="1" x14ac:dyDescent="0.35">
      <c r="A40" s="38" t="s">
        <v>62</v>
      </c>
      <c r="B40" s="30" t="s">
        <v>48</v>
      </c>
      <c r="C40" s="38" t="s">
        <v>47</v>
      </c>
      <c r="D40" s="7">
        <v>154689</v>
      </c>
      <c r="E40" s="5">
        <f>D40+[1]Sheet!$I$35</f>
        <v>156834.9523809524</v>
      </c>
      <c r="F40" s="5">
        <f>141151.5/90*100</f>
        <v>156835</v>
      </c>
    </row>
    <row r="41" spans="1:6" ht="24" customHeight="1" x14ac:dyDescent="0.35">
      <c r="A41" s="38" t="s">
        <v>62</v>
      </c>
      <c r="B41" s="30" t="s">
        <v>49</v>
      </c>
      <c r="C41" s="38" t="s">
        <v>50</v>
      </c>
      <c r="D41" s="7">
        <v>85000</v>
      </c>
      <c r="E41" s="5">
        <f>D41+[1]Sheet!$I$36</f>
        <v>86072.976190476198</v>
      </c>
      <c r="F41" s="5">
        <f>77466/90*100</f>
        <v>86073.333333333328</v>
      </c>
    </row>
    <row r="42" spans="1:6" ht="24" customHeight="1" x14ac:dyDescent="0.35">
      <c r="A42" s="40" t="s">
        <v>64</v>
      </c>
      <c r="B42" s="40" t="s">
        <v>42</v>
      </c>
      <c r="C42" s="38" t="s">
        <v>70</v>
      </c>
      <c r="D42" s="7">
        <v>35639</v>
      </c>
      <c r="E42" s="5">
        <v>35639</v>
      </c>
      <c r="F42" s="5">
        <f>32075/90*100</f>
        <v>35638.888888888891</v>
      </c>
    </row>
    <row r="43" spans="1:6" ht="24" customHeight="1" x14ac:dyDescent="0.35">
      <c r="A43" s="40" t="s">
        <v>61</v>
      </c>
      <c r="B43" s="40" t="s">
        <v>44</v>
      </c>
      <c r="C43" s="38" t="s">
        <v>70</v>
      </c>
      <c r="D43" s="7">
        <v>10010</v>
      </c>
      <c r="E43" s="5">
        <v>10010</v>
      </c>
      <c r="F43" s="5">
        <f>9009/90*100</f>
        <v>10010</v>
      </c>
    </row>
    <row r="44" spans="1:6" ht="15" customHeight="1" x14ac:dyDescent="0.35">
      <c r="A44" s="73" t="s">
        <v>7</v>
      </c>
      <c r="B44" s="74"/>
      <c r="C44" s="75"/>
      <c r="D44" s="22">
        <f>SUM(D32:D43)</f>
        <v>2785236</v>
      </c>
      <c r="E44" s="22">
        <f>SUM(E32:E43)</f>
        <v>2876537.6748119048</v>
      </c>
      <c r="F44" s="22">
        <f>SUM(F32:F43)</f>
        <v>2876538.7022722224</v>
      </c>
    </row>
    <row r="45" spans="1:6" ht="12.75" customHeight="1" thickBot="1" x14ac:dyDescent="0.4">
      <c r="A45" s="8"/>
      <c r="B45" s="8"/>
      <c r="C45" s="8"/>
      <c r="D45" s="9"/>
      <c r="E45" s="9"/>
      <c r="F45" s="9"/>
    </row>
    <row r="46" spans="1:6" ht="19.25" customHeight="1" thickBot="1" x14ac:dyDescent="0.4">
      <c r="A46" s="68" t="s">
        <v>11</v>
      </c>
      <c r="B46" s="69"/>
      <c r="C46" s="69"/>
      <c r="D46" s="69"/>
      <c r="E46" s="69"/>
      <c r="F46" s="70"/>
    </row>
    <row r="47" spans="1:6" ht="51.75" customHeight="1" thickBot="1" x14ac:dyDescent="0.4">
      <c r="A47" s="2" t="s">
        <v>2</v>
      </c>
      <c r="B47" s="2" t="s">
        <v>23</v>
      </c>
      <c r="C47" s="2" t="s">
        <v>24</v>
      </c>
      <c r="D47" s="3" t="s">
        <v>25</v>
      </c>
      <c r="E47" s="6" t="s">
        <v>5</v>
      </c>
      <c r="F47" s="3" t="s">
        <v>6</v>
      </c>
    </row>
    <row r="48" spans="1:6" ht="30" customHeight="1" x14ac:dyDescent="0.35">
      <c r="A48" s="31" t="s">
        <v>63</v>
      </c>
      <c r="B48" s="32" t="s">
        <v>51</v>
      </c>
      <c r="C48" s="32" t="s">
        <v>51</v>
      </c>
      <c r="D48" s="33">
        <v>100000</v>
      </c>
      <c r="E48" s="5">
        <v>100000</v>
      </c>
      <c r="F48" s="5">
        <f>36735+9700+108+19629</f>
        <v>66172</v>
      </c>
    </row>
    <row r="49" spans="1:11" ht="29" customHeight="1" x14ac:dyDescent="0.35">
      <c r="A49" s="34" t="s">
        <v>59</v>
      </c>
      <c r="B49" s="35" t="s">
        <v>52</v>
      </c>
      <c r="C49" s="35" t="s">
        <v>52</v>
      </c>
      <c r="D49" s="36">
        <v>202493</v>
      </c>
      <c r="E49" s="5">
        <v>202493</v>
      </c>
      <c r="F49" s="5">
        <f>396175/90*100</f>
        <v>440194.44444444444</v>
      </c>
    </row>
    <row r="50" spans="1:11" ht="31.5" customHeight="1" x14ac:dyDescent="0.35">
      <c r="A50" s="34" t="s">
        <v>60</v>
      </c>
      <c r="B50" s="35" t="s">
        <v>52</v>
      </c>
      <c r="C50" s="35" t="s">
        <v>52</v>
      </c>
      <c r="D50" s="36">
        <v>531098</v>
      </c>
      <c r="E50" s="5">
        <v>531098</v>
      </c>
      <c r="F50" s="5">
        <f>543589/90*100</f>
        <v>603987.77777777775</v>
      </c>
    </row>
    <row r="51" spans="1:11" ht="29.75" customHeight="1" x14ac:dyDescent="0.35">
      <c r="A51" s="34" t="s">
        <v>61</v>
      </c>
      <c r="B51" s="35" t="s">
        <v>52</v>
      </c>
      <c r="C51" s="35" t="s">
        <v>52</v>
      </c>
      <c r="D51" s="36">
        <v>357729</v>
      </c>
      <c r="E51" s="5">
        <v>357729</v>
      </c>
      <c r="F51" s="5">
        <f>219735/90*100</f>
        <v>244150</v>
      </c>
    </row>
    <row r="52" spans="1:11" ht="33" customHeight="1" x14ac:dyDescent="0.35">
      <c r="A52" s="34" t="s">
        <v>62</v>
      </c>
      <c r="B52" s="35" t="s">
        <v>52</v>
      </c>
      <c r="C52" s="35" t="s">
        <v>52</v>
      </c>
      <c r="D52" s="36">
        <v>700000</v>
      </c>
      <c r="E52" s="5">
        <v>700000</v>
      </c>
      <c r="F52" s="5">
        <f>630000/90*100</f>
        <v>700000</v>
      </c>
    </row>
    <row r="53" spans="1:11" ht="33" customHeight="1" x14ac:dyDescent="0.35">
      <c r="A53" s="40" t="s">
        <v>62</v>
      </c>
      <c r="B53" s="56" t="s">
        <v>51</v>
      </c>
      <c r="C53" s="57" t="s">
        <v>70</v>
      </c>
      <c r="D53" s="36">
        <v>84859</v>
      </c>
      <c r="E53" s="5">
        <v>84859</v>
      </c>
      <c r="F53" s="5">
        <f>76373/90*100</f>
        <v>84858.888888888891</v>
      </c>
    </row>
    <row r="54" spans="1:11" ht="33" customHeight="1" x14ac:dyDescent="0.35">
      <c r="A54" s="40" t="s">
        <v>60</v>
      </c>
      <c r="B54" s="60" t="s">
        <v>51</v>
      </c>
      <c r="C54" s="61" t="s">
        <v>70</v>
      </c>
      <c r="D54" s="36">
        <v>27225</v>
      </c>
      <c r="E54" s="5">
        <v>27225</v>
      </c>
      <c r="F54" s="5">
        <v>27225</v>
      </c>
    </row>
    <row r="55" spans="1:11" ht="15" customHeight="1" x14ac:dyDescent="0.35">
      <c r="A55" s="73" t="s">
        <v>7</v>
      </c>
      <c r="B55" s="74"/>
      <c r="C55" s="75"/>
      <c r="D55" s="22">
        <f>SUM(D48:D54)</f>
        <v>2003404</v>
      </c>
      <c r="E55" s="22">
        <f>SUM(E48:E54)</f>
        <v>2003404</v>
      </c>
      <c r="F55" s="22">
        <f>SUM(F48:F54)</f>
        <v>2166588.111111111</v>
      </c>
    </row>
    <row r="56" spans="1:11" ht="12.75" customHeight="1" thickBot="1" x14ac:dyDescent="0.4">
      <c r="A56" s="8"/>
      <c r="B56" s="8"/>
      <c r="C56" s="8"/>
      <c r="D56" s="9"/>
      <c r="E56" s="9"/>
      <c r="F56" s="9"/>
    </row>
    <row r="57" spans="1:11" ht="19.25" customHeight="1" thickBot="1" x14ac:dyDescent="0.4">
      <c r="A57" s="68" t="s">
        <v>12</v>
      </c>
      <c r="B57" s="69"/>
      <c r="C57" s="69"/>
      <c r="D57" s="69"/>
      <c r="E57" s="69"/>
      <c r="F57" s="70"/>
    </row>
    <row r="58" spans="1:11" ht="51.75" customHeight="1" thickBot="1" x14ac:dyDescent="0.4">
      <c r="A58" s="2" t="s">
        <v>2</v>
      </c>
      <c r="B58" s="2" t="s">
        <v>22</v>
      </c>
      <c r="C58" s="2" t="s">
        <v>4</v>
      </c>
      <c r="D58" s="3" t="s">
        <v>25</v>
      </c>
      <c r="E58" s="6" t="s">
        <v>5</v>
      </c>
      <c r="F58" s="3" t="s">
        <v>6</v>
      </c>
    </row>
    <row r="59" spans="1:11" ht="19.5" customHeight="1" x14ac:dyDescent="0.35">
      <c r="A59" s="29" t="s">
        <v>63</v>
      </c>
      <c r="B59" s="30" t="s">
        <v>65</v>
      </c>
      <c r="C59" s="30" t="s">
        <v>28</v>
      </c>
      <c r="D59" s="4">
        <v>206490</v>
      </c>
      <c r="E59" s="5">
        <f>[1]Sheet!$H$41</f>
        <v>210921.17707142857</v>
      </c>
      <c r="F59" s="5">
        <f>E59</f>
        <v>210921.17707142857</v>
      </c>
      <c r="K59" t="s">
        <v>9</v>
      </c>
    </row>
    <row r="60" spans="1:11" ht="15" customHeight="1" x14ac:dyDescent="0.35">
      <c r="A60" s="81" t="s">
        <v>7</v>
      </c>
      <c r="B60" s="81"/>
      <c r="C60" s="81"/>
      <c r="D60" s="22">
        <f>SUM(D59:D59)</f>
        <v>206490</v>
      </c>
      <c r="E60" s="22">
        <f t="shared" ref="E60:F60" si="2">SUM(E59:E59)</f>
        <v>210921.17707142857</v>
      </c>
      <c r="F60" s="22">
        <f t="shared" si="2"/>
        <v>210921.17707142857</v>
      </c>
    </row>
    <row r="61" spans="1:11" ht="12.75" customHeight="1" thickBot="1" x14ac:dyDescent="0.4">
      <c r="B61" t="s">
        <v>9</v>
      </c>
    </row>
    <row r="62" spans="1:11" ht="19.25" customHeight="1" thickBot="1" x14ac:dyDescent="0.4">
      <c r="A62" s="68" t="s">
        <v>13</v>
      </c>
      <c r="B62" s="69"/>
      <c r="C62" s="69"/>
      <c r="D62" s="69"/>
      <c r="E62" s="69"/>
      <c r="F62" s="70"/>
    </row>
    <row r="63" spans="1:11" ht="51.75" customHeight="1" thickBot="1" x14ac:dyDescent="0.4">
      <c r="A63" s="2" t="s">
        <v>2</v>
      </c>
      <c r="B63" s="2" t="s">
        <v>3</v>
      </c>
      <c r="C63" s="2" t="s">
        <v>4</v>
      </c>
      <c r="D63" s="3" t="s">
        <v>25</v>
      </c>
      <c r="E63" s="6" t="s">
        <v>5</v>
      </c>
      <c r="F63" s="3" t="s">
        <v>6</v>
      </c>
      <c r="J63" t="s">
        <v>9</v>
      </c>
    </row>
    <row r="64" spans="1:11" ht="15" customHeight="1" x14ac:dyDescent="0.35">
      <c r="A64" s="82" t="s">
        <v>7</v>
      </c>
      <c r="B64" s="83"/>
      <c r="C64" s="84"/>
      <c r="D64" s="22">
        <v>0</v>
      </c>
      <c r="E64" s="22">
        <v>0</v>
      </c>
      <c r="F64" s="22">
        <v>0</v>
      </c>
    </row>
    <row r="65" spans="1:6" ht="15" customHeight="1" thickBot="1" x14ac:dyDescent="0.4"/>
    <row r="66" spans="1:6" ht="15" customHeight="1" thickBot="1" x14ac:dyDescent="0.4">
      <c r="A66" s="85" t="s">
        <v>14</v>
      </c>
      <c r="B66" s="86"/>
      <c r="C66" s="86"/>
      <c r="D66" s="86"/>
      <c r="E66" s="86"/>
      <c r="F66" s="87"/>
    </row>
    <row r="67" spans="1:6" ht="15" customHeight="1" thickBot="1" x14ac:dyDescent="0.4">
      <c r="A67" s="88" t="s">
        <v>15</v>
      </c>
      <c r="B67" s="89"/>
      <c r="C67" s="89"/>
      <c r="D67" s="89"/>
      <c r="E67" s="89"/>
      <c r="F67" s="90"/>
    </row>
    <row r="68" spans="1:6" ht="51" customHeight="1" thickBot="1" x14ac:dyDescent="0.4">
      <c r="A68" s="2" t="s">
        <v>2</v>
      </c>
      <c r="B68" s="2" t="s">
        <v>3</v>
      </c>
      <c r="C68" s="2" t="s">
        <v>4</v>
      </c>
      <c r="D68" s="3" t="s">
        <v>25</v>
      </c>
      <c r="E68" s="6" t="s">
        <v>5</v>
      </c>
      <c r="F68" s="3" t="s">
        <v>6</v>
      </c>
    </row>
    <row r="69" spans="1:6" ht="20" customHeight="1" x14ac:dyDescent="0.35">
      <c r="A69" s="25" t="s">
        <v>63</v>
      </c>
      <c r="B69" s="37" t="s">
        <v>53</v>
      </c>
      <c r="C69" s="26" t="s">
        <v>63</v>
      </c>
      <c r="D69" s="24">
        <v>80480</v>
      </c>
      <c r="E69" s="5">
        <v>80480</v>
      </c>
      <c r="F69" s="5">
        <f>E69</f>
        <v>80480</v>
      </c>
    </row>
    <row r="70" spans="1:6" ht="19.25" customHeight="1" x14ac:dyDescent="0.35">
      <c r="A70" s="29" t="s">
        <v>60</v>
      </c>
      <c r="B70" s="37" t="s">
        <v>53</v>
      </c>
      <c r="C70" s="29" t="s">
        <v>60</v>
      </c>
      <c r="D70" s="24">
        <v>40240</v>
      </c>
      <c r="E70" s="5">
        <v>40240</v>
      </c>
      <c r="F70" s="5">
        <f>36216/90*100</f>
        <v>40240</v>
      </c>
    </row>
    <row r="71" spans="1:6" ht="19.25" customHeight="1" x14ac:dyDescent="0.35">
      <c r="A71" s="38" t="s">
        <v>61</v>
      </c>
      <c r="B71" s="30" t="s">
        <v>53</v>
      </c>
      <c r="C71" s="38" t="s">
        <v>61</v>
      </c>
      <c r="D71" s="4">
        <v>80480</v>
      </c>
      <c r="E71" s="5">
        <v>80480</v>
      </c>
      <c r="F71" s="5">
        <f>29406/90*100</f>
        <v>32673.333333333336</v>
      </c>
    </row>
    <row r="72" spans="1:6" ht="20.399999999999999" customHeight="1" x14ac:dyDescent="0.35">
      <c r="A72" s="40" t="s">
        <v>62</v>
      </c>
      <c r="B72" s="27" t="s">
        <v>53</v>
      </c>
      <c r="C72" s="40" t="s">
        <v>62</v>
      </c>
      <c r="D72" s="4">
        <v>80480</v>
      </c>
      <c r="E72" s="5">
        <v>80480</v>
      </c>
      <c r="F72" s="5">
        <f>72432/90*100</f>
        <v>80480</v>
      </c>
    </row>
    <row r="73" spans="1:6" ht="20.399999999999999" customHeight="1" x14ac:dyDescent="0.35">
      <c r="A73" s="40" t="s">
        <v>59</v>
      </c>
      <c r="B73" s="27" t="s">
        <v>53</v>
      </c>
      <c r="C73" s="40" t="s">
        <v>59</v>
      </c>
      <c r="D73" s="4">
        <v>55842</v>
      </c>
      <c r="E73" s="5">
        <v>55842</v>
      </c>
      <c r="F73" s="5">
        <f>50258/90*100</f>
        <v>55842.222222222219</v>
      </c>
    </row>
    <row r="74" spans="1:6" ht="21" customHeight="1" x14ac:dyDescent="0.35">
      <c r="A74" s="40" t="s">
        <v>63</v>
      </c>
      <c r="B74" s="47" t="s">
        <v>54</v>
      </c>
      <c r="C74" s="27" t="s">
        <v>63</v>
      </c>
      <c r="D74" s="4">
        <v>50000</v>
      </c>
      <c r="E74" s="5">
        <v>50000</v>
      </c>
      <c r="F74" s="5">
        <f>E74</f>
        <v>50000</v>
      </c>
    </row>
    <row r="75" spans="1:6" ht="18.5" customHeight="1" x14ac:dyDescent="0.35">
      <c r="A75" s="40" t="s">
        <v>59</v>
      </c>
      <c r="B75" s="47" t="s">
        <v>54</v>
      </c>
      <c r="C75" s="27" t="s">
        <v>59</v>
      </c>
      <c r="D75" s="4">
        <v>50000</v>
      </c>
      <c r="E75" s="5">
        <v>50000</v>
      </c>
      <c r="F75" s="5">
        <f>E75</f>
        <v>50000</v>
      </c>
    </row>
    <row r="76" spans="1:6" ht="20.75" customHeight="1" x14ac:dyDescent="0.35">
      <c r="A76" s="40" t="s">
        <v>60</v>
      </c>
      <c r="B76" s="47" t="s">
        <v>54</v>
      </c>
      <c r="C76" s="27" t="s">
        <v>60</v>
      </c>
      <c r="D76" s="4">
        <v>50000</v>
      </c>
      <c r="E76" s="5">
        <v>50000</v>
      </c>
      <c r="F76" s="5">
        <f>45000/90*100</f>
        <v>50000</v>
      </c>
    </row>
    <row r="77" spans="1:6" ht="18.5" customHeight="1" x14ac:dyDescent="0.35">
      <c r="A77" s="29" t="s">
        <v>61</v>
      </c>
      <c r="B77" s="37" t="s">
        <v>54</v>
      </c>
      <c r="C77" s="29" t="s">
        <v>61</v>
      </c>
      <c r="D77" s="24">
        <v>50000</v>
      </c>
      <c r="E77" s="5">
        <v>50000</v>
      </c>
      <c r="F77" s="5">
        <f>E77</f>
        <v>50000</v>
      </c>
    </row>
    <row r="78" spans="1:6" ht="19.25" customHeight="1" x14ac:dyDescent="0.35">
      <c r="A78" s="29" t="s">
        <v>62</v>
      </c>
      <c r="B78" s="37" t="s">
        <v>54</v>
      </c>
      <c r="C78" s="29" t="s">
        <v>62</v>
      </c>
      <c r="D78" s="24">
        <v>100000</v>
      </c>
      <c r="E78" s="5">
        <v>100000</v>
      </c>
      <c r="F78" s="5">
        <f>90000/90*100</f>
        <v>100000</v>
      </c>
    </row>
    <row r="79" spans="1:6" ht="19.5" customHeight="1" x14ac:dyDescent="0.35">
      <c r="A79" s="29" t="s">
        <v>62</v>
      </c>
      <c r="B79" s="37" t="s">
        <v>55</v>
      </c>
      <c r="C79" s="29" t="s">
        <v>62</v>
      </c>
      <c r="D79" s="24">
        <v>57100</v>
      </c>
      <c r="E79" s="5">
        <v>57100</v>
      </c>
      <c r="F79" s="5">
        <f>51390/90*100</f>
        <v>57100</v>
      </c>
    </row>
    <row r="80" spans="1:6" ht="20" customHeight="1" x14ac:dyDescent="0.35">
      <c r="A80" s="81" t="s">
        <v>7</v>
      </c>
      <c r="B80" s="81"/>
      <c r="C80" s="81"/>
      <c r="D80" s="22">
        <f>SUM(D69:D79)</f>
        <v>694622</v>
      </c>
      <c r="E80" s="22">
        <f t="shared" ref="E80:F80" si="3">SUM(E69:E79)</f>
        <v>694622</v>
      </c>
      <c r="F80" s="22">
        <f t="shared" si="3"/>
        <v>646815.5555555555</v>
      </c>
    </row>
    <row r="81" spans="1:6" ht="12.75" customHeight="1" thickBot="1" x14ac:dyDescent="0.4">
      <c r="A81" s="8"/>
      <c r="B81" s="8"/>
      <c r="C81" s="8"/>
      <c r="D81" s="9"/>
      <c r="E81" s="9"/>
      <c r="F81" s="9"/>
    </row>
    <row r="82" spans="1:6" ht="19.25" customHeight="1" thickBot="1" x14ac:dyDescent="0.4">
      <c r="A82" s="76" t="s">
        <v>16</v>
      </c>
      <c r="B82" s="77"/>
      <c r="C82" s="77"/>
      <c r="D82" s="77"/>
      <c r="E82" s="77"/>
      <c r="F82" s="78"/>
    </row>
    <row r="83" spans="1:6" ht="51.75" customHeight="1" thickBot="1" x14ac:dyDescent="0.4">
      <c r="A83" s="2" t="s">
        <v>2</v>
      </c>
      <c r="B83" s="2" t="s">
        <v>3</v>
      </c>
      <c r="C83" s="2" t="s">
        <v>4</v>
      </c>
      <c r="D83" s="3" t="s">
        <v>25</v>
      </c>
      <c r="E83" s="6" t="s">
        <v>5</v>
      </c>
      <c r="F83" s="3" t="s">
        <v>6</v>
      </c>
    </row>
    <row r="84" spans="1:6" ht="18.5" customHeight="1" x14ac:dyDescent="0.35">
      <c r="A84" s="29" t="s">
        <v>56</v>
      </c>
      <c r="B84" s="37" t="s">
        <v>57</v>
      </c>
      <c r="C84" s="30" t="s">
        <v>56</v>
      </c>
      <c r="D84" s="41">
        <v>524630</v>
      </c>
      <c r="E84" s="62">
        <v>524630</v>
      </c>
      <c r="F84" s="64">
        <f>146722+(64193/90*100)+(85029/90*100)+(85029/90*100)+(81216/90*100)</f>
        <v>497240.88888888893</v>
      </c>
    </row>
    <row r="85" spans="1:6" ht="18" customHeight="1" x14ac:dyDescent="0.35">
      <c r="A85" s="29" t="s">
        <v>62</v>
      </c>
      <c r="B85" s="51" t="s">
        <v>66</v>
      </c>
      <c r="C85" s="29" t="s">
        <v>62</v>
      </c>
      <c r="D85" s="50">
        <v>10000</v>
      </c>
      <c r="E85" s="62">
        <v>10000</v>
      </c>
      <c r="F85" s="63">
        <f>9000/90*100</f>
        <v>10000</v>
      </c>
    </row>
    <row r="86" spans="1:6" ht="15" customHeight="1" x14ac:dyDescent="0.35">
      <c r="A86" s="79" t="s">
        <v>7</v>
      </c>
      <c r="B86" s="79"/>
      <c r="C86" s="79"/>
      <c r="D86" s="22">
        <f>SUM(D84:D85)</f>
        <v>534630</v>
      </c>
      <c r="E86" s="22">
        <f t="shared" ref="E86:F86" si="4">SUM(E84:E85)</f>
        <v>534630</v>
      </c>
      <c r="F86" s="22">
        <f t="shared" si="4"/>
        <v>507240.88888888893</v>
      </c>
    </row>
    <row r="87" spans="1:6" ht="12.75" customHeight="1" x14ac:dyDescent="0.35"/>
    <row r="89" spans="1:6" ht="15.75" customHeight="1" x14ac:dyDescent="0.35"/>
    <row r="90" spans="1:6" s="10" customFormat="1" ht="12.75" customHeight="1" x14ac:dyDescent="0.3"/>
    <row r="91" spans="1:6" s="10" customFormat="1" ht="15" thickBot="1" x14ac:dyDescent="0.4">
      <c r="A91"/>
      <c r="B91"/>
      <c r="C91"/>
      <c r="D91"/>
      <c r="E91"/>
      <c r="F91"/>
    </row>
    <row r="92" spans="1:6" s="10" customFormat="1" ht="15" thickBot="1" x14ac:dyDescent="0.4">
      <c r="A92"/>
      <c r="B92"/>
      <c r="C92" s="11" t="s">
        <v>17</v>
      </c>
      <c r="D92" s="12">
        <f>SUM(D22,D28,D44,D55,D60,D64,D80,D86)</f>
        <v>7525124</v>
      </c>
      <c r="E92" s="12">
        <f t="shared" ref="E92:F92" si="5">SUM(E22,E28,E44,E55,E60,E64,E80,E86)</f>
        <v>7648821.5463904766</v>
      </c>
      <c r="F92" s="12">
        <f t="shared" si="5"/>
        <v>7705592.6798412697</v>
      </c>
    </row>
    <row r="93" spans="1:6" s="10" customFormat="1" x14ac:dyDescent="0.35">
      <c r="A93"/>
      <c r="B93"/>
      <c r="C93"/>
      <c r="D93"/>
      <c r="E93"/>
      <c r="F93"/>
    </row>
    <row r="94" spans="1:6" s="10" customFormat="1" ht="13.5" x14ac:dyDescent="0.3">
      <c r="A94" s="80" t="s">
        <v>58</v>
      </c>
      <c r="B94" s="80"/>
      <c r="C94" s="80"/>
      <c r="D94" s="13"/>
      <c r="E94" s="14"/>
      <c r="F94" s="14"/>
    </row>
    <row r="95" spans="1:6" s="10" customFormat="1" ht="13.5" x14ac:dyDescent="0.3">
      <c r="A95" s="80"/>
      <c r="B95" s="80"/>
      <c r="C95" s="80"/>
      <c r="D95" s="13"/>
      <c r="E95" s="14"/>
      <c r="F95" s="14"/>
    </row>
    <row r="96" spans="1:6" s="10" customFormat="1" ht="13.5" x14ac:dyDescent="0.3">
      <c r="A96" s="80"/>
      <c r="B96" s="80"/>
      <c r="C96" s="80"/>
      <c r="D96" s="13"/>
      <c r="E96" s="14"/>
      <c r="F96" s="14"/>
    </row>
    <row r="97" spans="1:6" s="10" customFormat="1" ht="13.5" x14ac:dyDescent="0.3">
      <c r="A97" s="15"/>
      <c r="B97" s="15"/>
      <c r="C97" s="15"/>
      <c r="D97" s="14"/>
      <c r="E97" s="14"/>
      <c r="F97" s="14"/>
    </row>
    <row r="98" spans="1:6" s="10" customFormat="1" ht="13.5" x14ac:dyDescent="0.3">
      <c r="A98" s="16"/>
      <c r="B98" s="15"/>
      <c r="C98" s="15"/>
      <c r="D98" s="17"/>
      <c r="F98" s="18"/>
    </row>
    <row r="99" spans="1:6" s="10" customFormat="1" ht="13.5" x14ac:dyDescent="0.3">
      <c r="A99" s="16"/>
      <c r="B99" s="42"/>
      <c r="C99" s="42"/>
      <c r="D99" s="43"/>
      <c r="E99" s="18"/>
      <c r="F99" s="18"/>
    </row>
    <row r="100" spans="1:6" s="10" customFormat="1" ht="13.5" x14ac:dyDescent="0.3">
      <c r="A100" s="19" t="s">
        <v>18</v>
      </c>
      <c r="B100" s="44"/>
      <c r="C100" s="19" t="s">
        <v>19</v>
      </c>
      <c r="D100" s="49"/>
    </row>
    <row r="101" spans="1:6" s="10" customFormat="1" ht="24" customHeight="1" x14ac:dyDescent="0.3">
      <c r="A101" s="19"/>
      <c r="B101" s="45"/>
      <c r="C101" s="19"/>
      <c r="D101" s="43"/>
    </row>
    <row r="102" spans="1:6" ht="12.75" customHeight="1" x14ac:dyDescent="0.35">
      <c r="A102" s="16"/>
      <c r="B102" s="42"/>
      <c r="C102" s="16"/>
      <c r="D102" s="43"/>
      <c r="E102" s="18"/>
      <c r="F102" s="18"/>
    </row>
    <row r="103" spans="1:6" ht="12.75" customHeight="1" x14ac:dyDescent="0.35">
      <c r="A103" s="16"/>
      <c r="B103" s="42"/>
      <c r="C103" s="16"/>
      <c r="D103" s="43"/>
      <c r="E103" s="18"/>
      <c r="F103" s="18"/>
    </row>
    <row r="104" spans="1:6" ht="12.75" customHeight="1" x14ac:dyDescent="0.35">
      <c r="A104" s="19" t="s">
        <v>20</v>
      </c>
      <c r="B104" s="44"/>
      <c r="C104" s="19" t="s">
        <v>19</v>
      </c>
      <c r="D104" s="48"/>
      <c r="E104" s="10"/>
      <c r="F104" s="10"/>
    </row>
    <row r="105" spans="1:6" ht="12.75" customHeight="1" x14ac:dyDescent="0.35">
      <c r="A105" s="42"/>
      <c r="B105" s="42"/>
      <c r="C105" s="46"/>
      <c r="D105" s="43"/>
      <c r="E105" s="17"/>
      <c r="F105" s="20"/>
    </row>
    <row r="106" spans="1:6" ht="12.75" customHeight="1" x14ac:dyDescent="0.35"/>
    <row r="107" spans="1:6" ht="12.75" customHeight="1" x14ac:dyDescent="0.35"/>
    <row r="108" spans="1:6" ht="12.75" customHeight="1" x14ac:dyDescent="0.35"/>
    <row r="109" spans="1:6" ht="12.75" customHeight="1" x14ac:dyDescent="0.35"/>
    <row r="110" spans="1:6" ht="12.75" customHeight="1" x14ac:dyDescent="0.35"/>
    <row r="111" spans="1:6" ht="12.75" customHeight="1" x14ac:dyDescent="0.35"/>
    <row r="112" spans="1:6"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row r="171" ht="12.75" customHeight="1" x14ac:dyDescent="0.35"/>
    <row r="172" ht="12.75" customHeight="1" x14ac:dyDescent="0.35"/>
    <row r="173" ht="12.75" customHeight="1" x14ac:dyDescent="0.35"/>
    <row r="174" ht="12.75" customHeight="1" x14ac:dyDescent="0.35"/>
    <row r="175" ht="12.75" customHeight="1" x14ac:dyDescent="0.35"/>
    <row r="176" ht="12.75" customHeight="1" x14ac:dyDescent="0.35"/>
    <row r="177" ht="12.75" customHeight="1" x14ac:dyDescent="0.35"/>
    <row r="178" ht="12.75" customHeight="1" x14ac:dyDescent="0.35"/>
    <row r="179" ht="12.75" customHeight="1" x14ac:dyDescent="0.35"/>
    <row r="180" ht="12.75" customHeight="1" x14ac:dyDescent="0.35"/>
    <row r="181" ht="12.75" customHeight="1" x14ac:dyDescent="0.35"/>
    <row r="182" ht="12.75" customHeight="1" x14ac:dyDescent="0.35"/>
    <row r="183" ht="12.75" customHeight="1" x14ac:dyDescent="0.35"/>
    <row r="184" ht="12.75" customHeight="1" x14ac:dyDescent="0.35"/>
    <row r="185" ht="12.75" customHeight="1" x14ac:dyDescent="0.35"/>
    <row r="186" ht="12.75" customHeight="1" x14ac:dyDescent="0.35"/>
    <row r="187" ht="12.75" customHeight="1" x14ac:dyDescent="0.35"/>
    <row r="188" ht="12.75" customHeight="1" x14ac:dyDescent="0.35"/>
    <row r="189" ht="12.75" customHeight="1" x14ac:dyDescent="0.35"/>
    <row r="190" ht="12.75" customHeight="1" x14ac:dyDescent="0.35"/>
    <row r="191" ht="12.75" customHeight="1" x14ac:dyDescent="0.35"/>
    <row r="192" ht="12.75" customHeight="1" x14ac:dyDescent="0.35"/>
    <row r="193" ht="12.75" customHeight="1" x14ac:dyDescent="0.35"/>
    <row r="194" ht="12.75" customHeight="1" x14ac:dyDescent="0.35"/>
    <row r="195" ht="12.75" customHeight="1" x14ac:dyDescent="0.35"/>
    <row r="196" ht="12.75" customHeight="1" x14ac:dyDescent="0.35"/>
  </sheetData>
  <mergeCells count="21">
    <mergeCell ref="A82:F82"/>
    <mergeCell ref="A86:C86"/>
    <mergeCell ref="A94:C96"/>
    <mergeCell ref="A60:C60"/>
    <mergeCell ref="A62:F62"/>
    <mergeCell ref="A64:C64"/>
    <mergeCell ref="A66:F66"/>
    <mergeCell ref="A67:F67"/>
    <mergeCell ref="A80:C80"/>
    <mergeCell ref="A1:C1"/>
    <mergeCell ref="A57:F57"/>
    <mergeCell ref="A2:B3"/>
    <mergeCell ref="A5:D5"/>
    <mergeCell ref="A7:F7"/>
    <mergeCell ref="A22:C22"/>
    <mergeCell ref="A24:F24"/>
    <mergeCell ref="A28:C28"/>
    <mergeCell ref="A30:F30"/>
    <mergeCell ref="A44:C44"/>
    <mergeCell ref="A46:F46"/>
    <mergeCell ref="A55:C55"/>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48:B54 C48:C52" xr:uid="{00000000-0002-0000-0000-000001000000}">
      <formula1>"Hotel, B&amp;B, Other Emergency Accommodation with no supports"</formula1>
    </dataValidation>
    <dataValidation type="list" allowBlank="1" showInputMessage="1" showErrorMessage="1" sqref="C53:C54" xr:uid="{00000000-0002-0000-0000-000002000000}">
      <formula1>"Cold Weather Initiative, Hotel, B&amp;B, Other Emergency Accommodation with no supports"</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2026-08-04T09:59:32Z</dcterms:created>
  <dcterms:modified xsi:type="dcterms:W3CDTF">2026-08-04T09:59:36Z</dcterms:modified>
</cp:coreProperties>
</file>